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48" windowWidth="8268" windowHeight="3480" tabRatio="649" activeTab="0"/>
  </bookViews>
  <sheets>
    <sheet name="Rimodulazione2022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<sst xmlns="http://schemas.openxmlformats.org/spreadsheetml/2006/main" count="46" uniqueCount="34">
  <si>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ASD ASSOCIAZIONE ATLETICA INTERFLUMINA</t>
  </si>
  <si>
    <t>CENTRO DI MEDICINA SPORTIVA CITTÀ DI CREMA</t>
  </si>
  <si>
    <t>FONDAZIONE TERESA CAMPLANI</t>
  </si>
  <si>
    <t>S. MARTINO FISIOKINESITERAPIA SAS DI PROVENZI GIAN FRANCO E C.</t>
  </si>
  <si>
    <t>FONDAZIONE OPERA SAN CAMILLO</t>
  </si>
  <si>
    <t>ISTITUTI CLINICI SCIENTIFICI MAUGERI SPA SB</t>
  </si>
  <si>
    <t>ASST DI MANTOVA</t>
  </si>
  <si>
    <t>BUDGET</t>
  </si>
  <si>
    <t>C_BUDGET</t>
  </si>
  <si>
    <t>X_BUDGET</t>
  </si>
  <si>
    <t>Ricovero</t>
  </si>
  <si>
    <t>Sub acuti</t>
  </si>
  <si>
    <t>Attività di specialistica ambulatoriale e diagnostica strumentale,
comprensive delle attività di Pronto Soccorso non seguite da ricovero (Quota 97%)</t>
  </si>
  <si>
    <t>ASST DI CREMONA</t>
  </si>
  <si>
    <t>VALORI DI RIFERIMENTO</t>
  </si>
  <si>
    <t>Psichiatria (solo per pubblici)</t>
  </si>
  <si>
    <t>NPIA (solo per pubblici)</t>
  </si>
  <si>
    <t xml:space="preserve">NUOVE RETI SANITARIE </t>
  </si>
  <si>
    <t>Ricovero  - bassa complessità fuori regione (solo strutture private)</t>
  </si>
  <si>
    <t>Ricovero  - cittadini lombardi (solo strutture private)</t>
  </si>
  <si>
    <t>Attività di specialistica ambulatoriale - cittadini lombardi (solo strutture private)</t>
  </si>
  <si>
    <t>Attività di specialistica ambulatoriale - quota SCREENING 1 e 2 livello</t>
  </si>
  <si>
    <t>INCREMENTI NON STORICIZZABILI
da compilare a cura di ATS per verifica con RL IN CORSO D'ESERCIZIO</t>
  </si>
  <si>
    <t>C_ASL</t>
  </si>
  <si>
    <t>C_PUBBPRIV</t>
  </si>
  <si>
    <t>Ricovero  - cittadini extraregione (solo strutture private)</t>
  </si>
  <si>
    <t>Ricovero - quota 5% destinata a progetti (solo strutture private) - APR-DIC</t>
  </si>
  <si>
    <t>Attività di specialistica ambulatoriale - cittadini extraregione (solo strutture private)</t>
  </si>
  <si>
    <t>Attività di specialistica ambulatoriale - quota 3% PAI - APR-DIC</t>
  </si>
  <si>
    <t>Attività di specialistica ambulatoriale - quota 7% per progetti - APR-DIC</t>
  </si>
  <si>
    <t>pubblico</t>
  </si>
  <si>
    <t>privato</t>
  </si>
  <si>
    <t>AST Val Padana  - Dipartimento PAAPSS
Rimodulazione 2022</t>
  </si>
  <si>
    <t>ORTORAD SRL ente unico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</si>
</sst>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  <numFmt numFmtId="200" formatCode="[$-410]dddd\ d\ mmmm\ yyyy"/>
    <numFmt numFmtId="201" formatCode="[$-410]dd\-mmm\-yy;@"/>
    <numFmt numFmtId="202" formatCode="mmm\-yyyy"/>
    <numFmt numFmtId="203" formatCode="dd/mm/yy;@"/>
    <numFmt numFmtId="204" formatCode="_-* #,##0_-;\-* #,##0_-;_-* &quot;-&quot;??_-;_-@_-"/>
    <numFmt numFmtId="205" formatCode="[$-410]d\-mmm;@"/>
    <numFmt numFmtId="206" formatCode="&quot;Attivo&quot;;&quot;Attivo&quot;;&quot;Inattivo&quot;"/>
    <numFmt numFmtId="207" formatCode="&quot;€&quot;\ #,##0.00"/>
    <numFmt numFmtId="208" formatCode="[$-409]dd/mm/yyyy"/>
    <numFmt numFmtId="209" formatCode="#,##0.00\ &quot;€&quot;"/>
    <numFmt numFmtId="210" formatCode="[$€-2]\ #,##0.00;[Red]\-[$€-2]\ #,##0.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6100"/>
      <name val="Calibri"/>
      <family val="2"/>
    </font>
    <font>
      <b/>
      <sz val="11"/>
      <color rgb="FF9C57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Fill="1" applyAlignment="1">
      <alignment/>
    </xf>
    <xf numFmtId="0" fontId="38" fillId="0" borderId="0" xfId="0" applyFont="1" applyAlignment="1">
      <alignment vertical="center"/>
    </xf>
    <xf numFmtId="0" fontId="41" fillId="32" borderId="10" xfId="64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4" fontId="22" fillId="0" borderId="0" xfId="0" applyNumberFormat="1" applyFont="1" applyFill="1" applyAlignment="1">
      <alignment/>
    </xf>
    <xf numFmtId="43" fontId="0" fillId="0" borderId="0" xfId="47" applyFont="1" applyAlignment="1">
      <alignment/>
    </xf>
    <xf numFmtId="43" fontId="21" fillId="12" borderId="10" xfId="64" applyNumberFormat="1" applyFont="1" applyFill="1" applyBorder="1" applyAlignment="1">
      <alignment horizontal="center" vertical="center" wrapText="1"/>
    </xf>
    <xf numFmtId="43" fontId="42" fillId="29" borderId="10" xfId="48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4" fontId="22" fillId="0" borderId="10" xfId="0" applyNumberFormat="1" applyFont="1" applyFill="1" applyBorder="1" applyAlignment="1">
      <alignment vertical="center"/>
    </xf>
    <xf numFmtId="4" fontId="22" fillId="0" borderId="0" xfId="0" applyNumberFormat="1" applyFont="1" applyFill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43" fontId="38" fillId="0" borderId="10" xfId="47" applyFont="1" applyBorder="1" applyAlignment="1">
      <alignment horizontal="center" vertical="center"/>
    </xf>
    <xf numFmtId="43" fontId="38" fillId="0" borderId="11" xfId="47" applyFont="1" applyBorder="1" applyAlignment="1">
      <alignment horizontal="center" vertical="center" wrapText="1"/>
    </xf>
    <xf numFmtId="43" fontId="38" fillId="0" borderId="12" xfId="47" applyFont="1" applyBorder="1" applyAlignment="1">
      <alignment horizontal="center" vertical="center" wrapText="1"/>
    </xf>
    <xf numFmtId="43" fontId="38" fillId="0" borderId="13" xfId="47" applyFont="1" applyBorder="1" applyAlignment="1">
      <alignment horizontal="center" vertical="center" wrapText="1"/>
    </xf>
    <xf numFmtId="43" fontId="38" fillId="0" borderId="10" xfId="47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43" fontId="38" fillId="0" borderId="11" xfId="47" applyFont="1" applyBorder="1" applyAlignment="1">
      <alignment horizontal="center" vertical="center"/>
    </xf>
    <xf numFmtId="43" fontId="38" fillId="0" borderId="12" xfId="47" applyFont="1" applyBorder="1" applyAlignment="1">
      <alignment horizontal="center" vertical="center"/>
    </xf>
    <xf numFmtId="43" fontId="38" fillId="0" borderId="13" xfId="47" applyFont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rmale 3" xfId="50"/>
    <cellStyle name="Normale 9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E11"/>
  <sheetViews>
    <sheetView tabSelected="1" zoomScale="77" zoomScaleNormal="77" zoomScalePageLayoutView="0" workbookViewId="0" topLeftCell="A1">
      <pane xSplit="4" ySplit="2" topLeftCell="L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O7" sqref="O7"/>
    </sheetView>
  </sheetViews>
  <sheetFormatPr defaultColWidth="9.140625" defaultRowHeight="12.75"/>
  <cols>
    <col min="1" max="1" width="11.28125" style="0" bestFit="1" customWidth="1"/>
    <col min="2" max="3" width="13.7109375" style="0" customWidth="1"/>
    <col min="4" max="4" width="50.140625" style="0" customWidth="1"/>
    <col min="5" max="5" width="2.57421875" style="0" customWidth="1"/>
    <col min="6" max="6" width="21.7109375" style="6" bestFit="1" customWidth="1"/>
    <col min="7" max="7" width="20.7109375" style="6" customWidth="1"/>
    <col min="8" max="8" width="28.8515625" style="6" customWidth="1"/>
    <col min="9" max="9" width="20.7109375" style="0" customWidth="1"/>
    <col min="10" max="11" width="20.7109375" style="6" customWidth="1"/>
    <col min="12" max="12" width="2.57421875" style="0" customWidth="1"/>
    <col min="13" max="13" width="20.140625" style="6" bestFit="1" customWidth="1"/>
    <col min="14" max="14" width="20.7109375" style="6" bestFit="1" customWidth="1"/>
    <col min="15" max="16" width="20.7109375" style="6" customWidth="1"/>
    <col min="17" max="17" width="21.7109375" style="6" bestFit="1" customWidth="1"/>
    <col min="18" max="18" width="21.7109375" style="6" customWidth="1"/>
    <col min="19" max="20" width="20.7109375" style="6" customWidth="1"/>
    <col min="21" max="21" width="18.57421875" style="0" bestFit="1" customWidth="1"/>
    <col min="22" max="26" width="15.57421875" style="6" hidden="1" customWidth="1"/>
    <col min="27" max="27" width="2.57421875" style="0" hidden="1" customWidth="1"/>
    <col min="30" max="30" width="10.28125" style="0" bestFit="1" customWidth="1"/>
  </cols>
  <sheetData>
    <row r="1" spans="1:26" s="2" customFormat="1" ht="36" customHeight="1">
      <c r="A1" s="22" t="s">
        <v>32</v>
      </c>
      <c r="B1" s="22"/>
      <c r="C1" s="22"/>
      <c r="D1" s="22"/>
      <c r="F1" s="23" t="s">
        <v>7</v>
      </c>
      <c r="G1" s="24"/>
      <c r="H1" s="24"/>
      <c r="I1" s="24"/>
      <c r="J1" s="24"/>
      <c r="K1" s="25"/>
      <c r="M1" s="18" t="s">
        <v>14</v>
      </c>
      <c r="N1" s="19"/>
      <c r="O1" s="19"/>
      <c r="P1" s="19"/>
      <c r="Q1" s="19"/>
      <c r="R1" s="19"/>
      <c r="S1" s="19"/>
      <c r="T1" s="19"/>
      <c r="U1" s="20"/>
      <c r="V1" s="21" t="s">
        <v>22</v>
      </c>
      <c r="W1" s="17"/>
      <c r="X1" s="17"/>
      <c r="Y1" s="17"/>
      <c r="Z1" s="17"/>
    </row>
    <row r="2" spans="1:26" s="4" customFormat="1" ht="67.5" customHeight="1">
      <c r="A2" s="3" t="s">
        <v>23</v>
      </c>
      <c r="B2" s="3" t="s">
        <v>24</v>
      </c>
      <c r="C2" s="3" t="s">
        <v>8</v>
      </c>
      <c r="D2" s="3" t="s">
        <v>9</v>
      </c>
      <c r="F2" s="7" t="s">
        <v>10</v>
      </c>
      <c r="G2" s="7" t="s">
        <v>11</v>
      </c>
      <c r="H2" s="7" t="s">
        <v>12</v>
      </c>
      <c r="I2" s="7" t="s">
        <v>15</v>
      </c>
      <c r="J2" s="7" t="s">
        <v>16</v>
      </c>
      <c r="K2" s="7" t="s">
        <v>17</v>
      </c>
      <c r="M2" s="7" t="s">
        <v>18</v>
      </c>
      <c r="N2" s="7" t="s">
        <v>19</v>
      </c>
      <c r="O2" s="7" t="s">
        <v>25</v>
      </c>
      <c r="P2" s="7" t="s">
        <v>26</v>
      </c>
      <c r="Q2" s="7" t="s">
        <v>20</v>
      </c>
      <c r="R2" s="7" t="s">
        <v>27</v>
      </c>
      <c r="S2" s="7" t="s">
        <v>28</v>
      </c>
      <c r="T2" s="7" t="s">
        <v>29</v>
      </c>
      <c r="U2" s="7" t="s">
        <v>21</v>
      </c>
      <c r="V2" s="8" t="s">
        <v>10</v>
      </c>
      <c r="W2" s="8" t="s">
        <v>11</v>
      </c>
      <c r="X2" s="8" t="s">
        <v>12</v>
      </c>
      <c r="Y2" s="8" t="s">
        <v>15</v>
      </c>
      <c r="Z2" s="8" t="s">
        <v>16</v>
      </c>
    </row>
    <row r="3" spans="1:27" s="1" customFormat="1" ht="30" customHeight="1">
      <c r="A3" s="9">
        <v>327</v>
      </c>
      <c r="B3" s="9" t="s">
        <v>30</v>
      </c>
      <c r="C3" s="9">
        <v>724</v>
      </c>
      <c r="D3" s="10" t="s">
        <v>13</v>
      </c>
      <c r="E3" s="5"/>
      <c r="F3" s="15">
        <f>94520772.9661198-5000000</f>
        <v>89520772.9661198</v>
      </c>
      <c r="G3" s="11">
        <v>1348117.7000400003</v>
      </c>
      <c r="H3" s="15">
        <f>48977661.02+5000000</f>
        <v>53977661.02</v>
      </c>
      <c r="I3" s="11">
        <v>4954000</v>
      </c>
      <c r="J3" s="11">
        <v>1123000</v>
      </c>
      <c r="K3" s="11">
        <v>0</v>
      </c>
      <c r="L3" s="12"/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5">
        <f>766192.53*53977661.02/48977661.02</f>
        <v>844411.100879398</v>
      </c>
      <c r="T3" s="11">
        <v>0</v>
      </c>
      <c r="U3" s="11">
        <v>559000</v>
      </c>
      <c r="V3" s="13"/>
      <c r="W3" s="13"/>
      <c r="X3" s="13"/>
      <c r="Y3" s="13"/>
      <c r="Z3" s="13"/>
      <c r="AA3" s="14"/>
    </row>
    <row r="4" spans="1:27" s="1" customFormat="1" ht="30" customHeight="1">
      <c r="A4" s="9">
        <v>327</v>
      </c>
      <c r="B4" s="9" t="s">
        <v>30</v>
      </c>
      <c r="C4" s="9">
        <v>725</v>
      </c>
      <c r="D4" s="10" t="s">
        <v>6</v>
      </c>
      <c r="E4" s="5"/>
      <c r="F4" s="15">
        <f>128442231.61313-6500000</f>
        <v>121942231.61313</v>
      </c>
      <c r="G4" s="15">
        <f>1439906.70001+900000</f>
        <v>2339906.70001</v>
      </c>
      <c r="H4" s="15">
        <f>50098496.37+5600000</f>
        <v>55698496.37</v>
      </c>
      <c r="I4" s="11">
        <v>11104000</v>
      </c>
      <c r="J4" s="11">
        <v>2389397</v>
      </c>
      <c r="K4" s="11">
        <v>0</v>
      </c>
      <c r="L4" s="12"/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5">
        <f>828647.2575*55698496.37/50098496.37</f>
        <v>921273.2837928525</v>
      </c>
      <c r="T4" s="11">
        <v>0</v>
      </c>
      <c r="U4" s="11">
        <v>1748475</v>
      </c>
      <c r="V4" s="13"/>
      <c r="W4" s="13"/>
      <c r="X4" s="13"/>
      <c r="Y4" s="13"/>
      <c r="Z4" s="13"/>
      <c r="AA4" s="14"/>
    </row>
    <row r="5" spans="1:29" s="1" customFormat="1" ht="30" customHeight="1">
      <c r="A5" s="9">
        <v>327</v>
      </c>
      <c r="B5" s="9" t="s">
        <v>31</v>
      </c>
      <c r="C5" s="9">
        <v>327001826</v>
      </c>
      <c r="D5" s="10" t="s">
        <v>0</v>
      </c>
      <c r="E5" s="5"/>
      <c r="F5" s="11">
        <v>0</v>
      </c>
      <c r="G5" s="11">
        <v>0</v>
      </c>
      <c r="H5" s="15">
        <f>120825.53+6500+12531.6</f>
        <v>139857.13</v>
      </c>
      <c r="I5" s="11">
        <v>0</v>
      </c>
      <c r="J5" s="11">
        <v>0</v>
      </c>
      <c r="K5" s="11">
        <v>0</v>
      </c>
      <c r="L5" s="12"/>
      <c r="M5" s="11">
        <v>0</v>
      </c>
      <c r="N5" s="11">
        <v>0</v>
      </c>
      <c r="O5" s="11">
        <v>0</v>
      </c>
      <c r="P5" s="11">
        <v>0</v>
      </c>
      <c r="Q5" s="15">
        <f>119691.70955+(6500*0.99)+12531.6</f>
        <v>138658.30955</v>
      </c>
      <c r="R5" s="15">
        <f>1133.81457+(6500*0.01)</f>
        <v>1198.81457</v>
      </c>
      <c r="S5" s="11">
        <v>0</v>
      </c>
      <c r="T5" s="15">
        <f>H5*0.07/12*9</f>
        <v>7342.499325000001</v>
      </c>
      <c r="U5" s="11">
        <v>0</v>
      </c>
      <c r="V5" s="13"/>
      <c r="W5" s="13"/>
      <c r="X5" s="13"/>
      <c r="Y5" s="13"/>
      <c r="Z5" s="13"/>
      <c r="AA5" s="14"/>
      <c r="AB5" s="1">
        <v>0.9906161005445014</v>
      </c>
      <c r="AC5" s="1">
        <f>1-AB5</f>
        <v>0.009383899455498557</v>
      </c>
    </row>
    <row r="6" spans="1:27" s="1" customFormat="1" ht="30" customHeight="1">
      <c r="A6" s="9">
        <v>327</v>
      </c>
      <c r="B6" s="9" t="s">
        <v>31</v>
      </c>
      <c r="C6" s="9">
        <v>327001851</v>
      </c>
      <c r="D6" s="10" t="s">
        <v>1</v>
      </c>
      <c r="E6" s="5"/>
      <c r="F6" s="11">
        <v>0</v>
      </c>
      <c r="G6" s="11">
        <v>0</v>
      </c>
      <c r="H6" s="15">
        <f>199074.95+22927.98</f>
        <v>222002.93000000002</v>
      </c>
      <c r="I6" s="11">
        <v>0</v>
      </c>
      <c r="J6" s="11">
        <v>0</v>
      </c>
      <c r="K6" s="11">
        <v>0</v>
      </c>
      <c r="L6" s="12"/>
      <c r="M6" s="11">
        <v>0</v>
      </c>
      <c r="N6" s="11">
        <v>0</v>
      </c>
      <c r="O6" s="11">
        <v>0</v>
      </c>
      <c r="P6" s="11">
        <v>0</v>
      </c>
      <c r="Q6" s="15">
        <f>199013.2025+22927.98</f>
        <v>221941.18250000002</v>
      </c>
      <c r="R6" s="11">
        <v>61.7405</v>
      </c>
      <c r="S6" s="11">
        <v>0</v>
      </c>
      <c r="T6" s="15">
        <f>H6*0.07/12*9</f>
        <v>11655.153825000001</v>
      </c>
      <c r="U6" s="11">
        <v>0</v>
      </c>
      <c r="V6" s="13"/>
      <c r="W6" s="13"/>
      <c r="X6" s="13"/>
      <c r="Y6" s="13"/>
      <c r="Z6" s="13"/>
      <c r="AA6" s="14"/>
    </row>
    <row r="7" spans="1:31" s="1" customFormat="1" ht="30" customHeight="1">
      <c r="A7" s="9">
        <v>327</v>
      </c>
      <c r="B7" s="9" t="s">
        <v>31</v>
      </c>
      <c r="C7" s="9">
        <v>327030218</v>
      </c>
      <c r="D7" s="10" t="s">
        <v>4</v>
      </c>
      <c r="E7" s="5"/>
      <c r="F7" s="15">
        <f>7096044.9537-250000</f>
        <v>6846044.9537</v>
      </c>
      <c r="G7" s="11">
        <v>0</v>
      </c>
      <c r="H7" s="15">
        <f>5481972.3+250000</f>
        <v>5731972.3</v>
      </c>
      <c r="I7" s="11">
        <v>0</v>
      </c>
      <c r="J7" s="11">
        <v>0</v>
      </c>
      <c r="K7" s="11">
        <v>0</v>
      </c>
      <c r="L7" s="12"/>
      <c r="M7" s="11">
        <v>571359.13</v>
      </c>
      <c r="N7" s="15">
        <f>6321244.6399-(250000*0.89)</f>
        <v>6098744.6399</v>
      </c>
      <c r="O7" s="15">
        <f>774800.3138-(250000*0.11)</f>
        <v>747300.3138</v>
      </c>
      <c r="P7" s="15">
        <f>F7*0.05/12*9</f>
        <v>256726.68576375005</v>
      </c>
      <c r="Q7" s="15">
        <f>4982466.40267054+(250000*0.91)</f>
        <v>5209966.40267054</v>
      </c>
      <c r="R7" s="15">
        <f>499505.8941+(250000*0.09)</f>
        <v>522005.8941</v>
      </c>
      <c r="S7" s="15">
        <f>(101240.9175*5731972.3)/5481972.3</f>
        <v>105857.91079910878</v>
      </c>
      <c r="T7" s="15">
        <f>H7*0.07/12*9</f>
        <v>300928.54575000005</v>
      </c>
      <c r="U7" s="11">
        <v>110803</v>
      </c>
      <c r="V7" s="13"/>
      <c r="W7" s="13"/>
      <c r="X7" s="13"/>
      <c r="Y7" s="13"/>
      <c r="Z7" s="13"/>
      <c r="AA7" s="14"/>
      <c r="AB7" s="1">
        <v>0.8908123724052783</v>
      </c>
      <c r="AC7" s="16">
        <v>0.10999999999999999</v>
      </c>
      <c r="AD7" s="1">
        <v>0.9088820834803812</v>
      </c>
      <c r="AE7" s="1">
        <v>0.08999999999999997</v>
      </c>
    </row>
    <row r="8" spans="1:27" s="1" customFormat="1" ht="30" customHeight="1">
      <c r="A8" s="9">
        <v>327</v>
      </c>
      <c r="B8" s="9" t="s">
        <v>31</v>
      </c>
      <c r="C8" s="9">
        <v>327030217</v>
      </c>
      <c r="D8" s="10" t="s">
        <v>2</v>
      </c>
      <c r="E8" s="5"/>
      <c r="F8" s="15">
        <f>17277868.47442-700000+400000+29316.97</f>
        <v>17007185.44442</v>
      </c>
      <c r="G8" s="11">
        <v>0</v>
      </c>
      <c r="H8" s="11">
        <v>8004865.7700000005</v>
      </c>
      <c r="I8" s="11">
        <v>0</v>
      </c>
      <c r="J8" s="11">
        <v>0</v>
      </c>
      <c r="K8" s="11">
        <v>0</v>
      </c>
      <c r="L8" s="12"/>
      <c r="M8" s="15">
        <f>1321397.66+400000</f>
        <v>1721397.66</v>
      </c>
      <c r="N8" s="15">
        <f>15261777.90995-700000</f>
        <v>14561777.90995</v>
      </c>
      <c r="O8" s="15">
        <f>2016090.56447+400000</f>
        <v>2416090.56447</v>
      </c>
      <c r="P8" s="15">
        <f>F8*0.05/12*9</f>
        <v>637769.45416575</v>
      </c>
      <c r="Q8" s="11">
        <v>7252286.220962083</v>
      </c>
      <c r="R8" s="11">
        <v>752579.5430299998</v>
      </c>
      <c r="S8" s="11">
        <v>147575.865</v>
      </c>
      <c r="T8" s="11">
        <v>420255.46</v>
      </c>
      <c r="U8" s="11">
        <v>239922</v>
      </c>
      <c r="V8" s="13"/>
      <c r="W8" s="13"/>
      <c r="X8" s="13"/>
      <c r="Y8" s="13"/>
      <c r="Z8" s="13"/>
      <c r="AA8" s="14"/>
    </row>
    <row r="9" spans="1:31" s="1" customFormat="1" ht="30" customHeight="1">
      <c r="A9" s="9">
        <v>327</v>
      </c>
      <c r="B9" s="9" t="s">
        <v>31</v>
      </c>
      <c r="C9" s="9">
        <v>327030933</v>
      </c>
      <c r="D9" s="10" t="s">
        <v>5</v>
      </c>
      <c r="E9" s="5"/>
      <c r="F9" s="15">
        <f>7287486.375-1300000</f>
        <v>5987486.375</v>
      </c>
      <c r="G9" s="11">
        <v>0</v>
      </c>
      <c r="H9" s="15">
        <f>1243291.63+1300000</f>
        <v>2543291.63</v>
      </c>
      <c r="I9" s="11">
        <v>0</v>
      </c>
      <c r="J9" s="11">
        <v>0</v>
      </c>
      <c r="K9" s="11">
        <v>0</v>
      </c>
      <c r="L9" s="12"/>
      <c r="M9" s="11">
        <v>0</v>
      </c>
      <c r="N9" s="15">
        <f>6897232.74-(1300000*0.95)</f>
        <v>5662232.74</v>
      </c>
      <c r="O9" s="15">
        <f>390253.635-(1300000*0.05)</f>
        <v>325253.635</v>
      </c>
      <c r="P9" s="15">
        <f>F9*0.05/12*9</f>
        <v>224530.7390625</v>
      </c>
      <c r="Q9" s="15">
        <f>1235779.48360537+(1300000*0.99)</f>
        <v>2522779.48360537</v>
      </c>
      <c r="R9" s="15">
        <f>7512.13978+(1300000*0.01)</f>
        <v>20512.13978</v>
      </c>
      <c r="S9" s="15">
        <f>23320.9575*2543291.63/1243291.63</f>
        <v>47705.618361908964</v>
      </c>
      <c r="T9" s="15">
        <f>H9*0.07/12*9</f>
        <v>133522.810575</v>
      </c>
      <c r="U9" s="11">
        <v>0</v>
      </c>
      <c r="V9" s="13"/>
      <c r="W9" s="13"/>
      <c r="X9" s="13"/>
      <c r="Y9" s="13"/>
      <c r="Z9" s="13"/>
      <c r="AA9" s="14"/>
      <c r="AB9" s="1">
        <v>0.9464488007361798</v>
      </c>
      <c r="AC9" s="16">
        <v>0.050000000000000044</v>
      </c>
      <c r="AD9" s="1">
        <v>0.9939578618252528</v>
      </c>
      <c r="AE9" s="1">
        <v>0.006042138174747191</v>
      </c>
    </row>
    <row r="10" spans="1:27" s="1" customFormat="1" ht="30" customHeight="1">
      <c r="A10" s="9">
        <v>327</v>
      </c>
      <c r="B10" s="9" t="s">
        <v>31</v>
      </c>
      <c r="C10" s="9">
        <v>327001850</v>
      </c>
      <c r="D10" s="10" t="s">
        <v>3</v>
      </c>
      <c r="E10" s="5"/>
      <c r="F10" s="11">
        <v>0</v>
      </c>
      <c r="G10" s="11">
        <v>0</v>
      </c>
      <c r="H10" s="15">
        <f>108934.72-6500</f>
        <v>102434.72</v>
      </c>
      <c r="I10" s="11">
        <v>0</v>
      </c>
      <c r="J10" s="11">
        <v>0</v>
      </c>
      <c r="K10" s="11">
        <v>0</v>
      </c>
      <c r="L10" s="12"/>
      <c r="M10" s="11">
        <v>0</v>
      </c>
      <c r="N10" s="11">
        <v>0</v>
      </c>
      <c r="O10" s="11">
        <v>0</v>
      </c>
      <c r="P10" s="11">
        <v>0</v>
      </c>
      <c r="Q10" s="15">
        <f>108934.7151-6500</f>
        <v>102434.7151</v>
      </c>
      <c r="R10" s="11">
        <v>0</v>
      </c>
      <c r="S10" s="11">
        <v>0</v>
      </c>
      <c r="T10" s="15">
        <f>H10*0.07/12*9</f>
        <v>5377.822800000001</v>
      </c>
      <c r="U10" s="11">
        <v>0</v>
      </c>
      <c r="V10" s="13"/>
      <c r="W10" s="13"/>
      <c r="X10" s="13"/>
      <c r="Y10" s="13"/>
      <c r="Z10" s="13"/>
      <c r="AA10" s="14"/>
    </row>
    <row r="11" spans="1:27" s="1" customFormat="1" ht="30" customHeight="1">
      <c r="A11" s="9">
        <v>327</v>
      </c>
      <c r="B11" s="9" t="s">
        <v>31</v>
      </c>
      <c r="C11" s="9">
        <v>327002008</v>
      </c>
      <c r="D11" s="10" t="s">
        <v>33</v>
      </c>
      <c r="E11" s="5"/>
      <c r="F11" s="11"/>
      <c r="G11" s="11"/>
      <c r="H11" s="15">
        <f>205000+18540.4</f>
        <v>223540.4</v>
      </c>
      <c r="I11" s="11"/>
      <c r="J11" s="11"/>
      <c r="K11" s="11"/>
      <c r="L11" s="12"/>
      <c r="M11" s="11"/>
      <c r="N11" s="11"/>
      <c r="O11" s="11"/>
      <c r="P11" s="11"/>
      <c r="Q11" s="15">
        <f>786567.73+18540.4</f>
        <v>805108.13</v>
      </c>
      <c r="R11" s="11">
        <v>56757.459650000004</v>
      </c>
      <c r="S11" s="11">
        <v>12284.144999999999</v>
      </c>
      <c r="T11" s="15">
        <f>H11*0.07/12*9</f>
        <v>11735.871000000001</v>
      </c>
      <c r="U11" s="11">
        <v>0</v>
      </c>
      <c r="V11" s="13"/>
      <c r="W11" s="13"/>
      <c r="X11" s="13"/>
      <c r="Y11" s="13"/>
      <c r="Z11" s="13"/>
      <c r="AA11" s="14"/>
    </row>
  </sheetData>
  <sheetProtection/>
  <mergeCells count="4">
    <mergeCell ref="A1:D1"/>
    <mergeCell ref="F1:K1"/>
    <mergeCell ref="M1:U1"/>
    <mergeCell ref="V1:Z1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Vallara Alessia</cp:lastModifiedBy>
  <cp:lastPrinted>2023-01-16T07:45:26Z</cp:lastPrinted>
  <dcterms:created xsi:type="dcterms:W3CDTF">1996-11-05T10:16:36Z</dcterms:created>
  <dcterms:modified xsi:type="dcterms:W3CDTF">2023-01-16T07:46:28Z</dcterms:modified>
  <cp:category/>
  <cp:version/>
  <cp:contentType/>
  <cp:contentStatus/>
</cp:coreProperties>
</file>